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uestos" sheetId="1" state="visible" r:id="rId3"/>
    <sheet name="Costos Fijos" sheetId="2" state="visible" r:id="rId4"/>
    <sheet name="Impuestos" sheetId="3" state="visible" r:id="rId5"/>
    <sheet name="Precio Hora" sheetId="4" state="visible" r:id="rId6"/>
    <sheet name="Punto de Equilibrio" sheetId="5" state="visible" r:id="rId7"/>
    <sheet name="Resultado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<sst xmlns="http://schemas.openxmlformats.org/spreadsheetml/2006/main" count="122" uniqueCount="117">
  <si>
    <t xml:space="preserve">NEXO CONSULTING GROUP — Modelo de Costeo y Pricing</t>
  </si>
  <si>
    <t xml:space="preserve">Celdas AZULES = editar. Amarillo = supuestos clave. Valores mensuales.</t>
  </si>
  <si>
    <t xml:space="preserve">PARÁMETROS GENERALES</t>
  </si>
  <si>
    <t xml:space="preserve">Tipo de cambio (ARS/US$)</t>
  </si>
  <si>
    <t xml:space="preserve">Actualizar al cotizar</t>
  </si>
  <si>
    <t xml:space="preserve">Cantidad de personas</t>
  </si>
  <si>
    <t xml:space="preserve">Equipo total</t>
  </si>
  <si>
    <t xml:space="preserve">Sueldo promedio facturado (monotributo)</t>
  </si>
  <si>
    <t xml:space="preserve">Sin cargas patronales; revisar encuadre laboral</t>
  </si>
  <si>
    <t xml:space="preserve">CAPACIDAD</t>
  </si>
  <si>
    <t xml:space="preserve">Horas de ingeniería in-house / mes</t>
  </si>
  <si>
    <t xml:space="preserve">Capacidad instalada</t>
  </si>
  <si>
    <t xml:space="preserve">Utilización facturable</t>
  </si>
  <si>
    <t xml:space="preserve">% de horas efectivamente vendidas</t>
  </si>
  <si>
    <t xml:space="preserve">Horas tercerizadas máx. / mes</t>
  </si>
  <si>
    <t xml:space="preserve">Especialistas externos</t>
  </si>
  <si>
    <t xml:space="preserve">Costo hora tercerizada (US$)</t>
  </si>
  <si>
    <t xml:space="preserve">Costo variable de subcontratación</t>
  </si>
  <si>
    <t xml:space="preserve">FINANCIAMIENTO</t>
  </si>
  <si>
    <t xml:space="preserve">Tasa financiamiento mensual</t>
  </si>
  <si>
    <t xml:space="preserve">Costo de capital de trabajo</t>
  </si>
  <si>
    <t xml:space="preserve">Plazo de cobranza (días)</t>
  </si>
  <si>
    <t xml:space="preserve">Días promedio de cobro</t>
  </si>
  <si>
    <t xml:space="preserve">% anticipo (0% = sin anticipo)</t>
  </si>
  <si>
    <t xml:space="preserve">Porción cobrada por adelantado</t>
  </si>
  <si>
    <t xml:space="preserve">MARGEN Y MERCADO</t>
  </si>
  <si>
    <t xml:space="preserve">Margen de utilidad objetivo</t>
  </si>
  <si>
    <t xml:space="preserve">Utilidad neta buscada sobre venta</t>
  </si>
  <si>
    <t xml:space="preserve">Mercado ARG: hora ingeniería - piso</t>
  </si>
  <si>
    <t xml:space="preserve">Rango observado de mercado</t>
  </si>
  <si>
    <t xml:space="preserve">Mercado ARG: hora ingeniería - techo</t>
  </si>
  <si>
    <t xml:space="preserve">Precio target Automatización/IoT (piso propio)</t>
  </si>
  <si>
    <t xml:space="preserve">Definición comercial Nexo</t>
  </si>
  <si>
    <t xml:space="preserve">Precio target Software (piso propio)</t>
  </si>
  <si>
    <t xml:space="preserve">COSTOS FIJOS MENSUALES</t>
  </si>
  <si>
    <t xml:space="preserve">Agregar filas antes del subtotal si sumás conceptos nuevos.</t>
  </si>
  <si>
    <t xml:space="preserve">Concepto</t>
  </si>
  <si>
    <t xml:space="preserve">Monto ($/mes)</t>
  </si>
  <si>
    <t xml:space="preserve">Nota</t>
  </si>
  <si>
    <t xml:space="preserve">Nómina (personas × sueldo promedio)</t>
  </si>
  <si>
    <t xml:space="preserve">Calculado desde Supuestos</t>
  </si>
  <si>
    <t xml:space="preserve">Alquiler oficinas</t>
  </si>
  <si>
    <t xml:space="preserve">Vehículos (5 unidades)</t>
  </si>
  <si>
    <t xml:space="preserve">Combustible, mantenimiento, seguros</t>
  </si>
  <si>
    <t xml:space="preserve">Viáticos Bs.As. (2 viajes × 1.400 km × $750/km)</t>
  </si>
  <si>
    <t xml:space="preserve">Córdoba-BsAs ida y vuelta ≈1.400 km</t>
  </si>
  <si>
    <t xml:space="preserve">Marketing y comercialización</t>
  </si>
  <si>
    <t xml:space="preserve">Servicio de deuda bancaria</t>
  </si>
  <si>
    <t xml:space="preserve">Cuota crédito. Excluida del EBITDA</t>
  </si>
  <si>
    <t xml:space="preserve">Abogados, contadores, consultores, proveedores</t>
  </si>
  <si>
    <t xml:space="preserve">TOTAL COSTOS FIJOS</t>
  </si>
  <si>
    <t xml:space="preserve">Total en US$</t>
  </si>
  <si>
    <t xml:space="preserve">Costos fijos sin servicio de deuda (base EBITDA)</t>
  </si>
  <si>
    <t xml:space="preserve">IMPUESTOS SOBRE FACTURACIÓN</t>
  </si>
  <si>
    <t xml:space="preserve">Alícuotas de referencia — validar con estudio contable. Editables en azul.</t>
  </si>
  <si>
    <t xml:space="preserve">Impuesto</t>
  </si>
  <si>
    <t xml:space="preserve">% s/ventas</t>
  </si>
  <si>
    <t xml:space="preserve">Ingresos Brutos (Córdoba, servicios)</t>
  </si>
  <si>
    <t xml:space="preserve">Alícuota general servicios; verificar convenio multilateral</t>
  </si>
  <si>
    <t xml:space="preserve">Comercio e Industria (tasa municipal)</t>
  </si>
  <si>
    <t xml:space="preserve">Córdoba capital, aprox.</t>
  </si>
  <si>
    <t xml:space="preserve">Imp. al cheque (débitos y créditos, efecto neto)</t>
  </si>
  <si>
    <t xml:space="preserve">0,6% + 0,6%; parte computable a Ganancias</t>
  </si>
  <si>
    <t xml:space="preserve">Imp. a las Ganancias (efectivo sobre ventas)</t>
  </si>
  <si>
    <t xml:space="preserve">35% s/utilidad ≈ 5% s/ventas con margen 15%. Ajustar</t>
  </si>
  <si>
    <t xml:space="preserve">IVA no recuperable / costo financiero IVA</t>
  </si>
  <si>
    <t xml:space="preserve">El IVA 21% se traslada; cargar solo saldo no computable</t>
  </si>
  <si>
    <t xml:space="preserve">PRESIÓN FISCAL TOTAL S/VENTAS</t>
  </si>
  <si>
    <t xml:space="preserve">COSTO FINANCIERO</t>
  </si>
  <si>
    <t xml:space="preserve">Recargo financiero s/ventas = tasa × (días/30) × (1 − anticipo)</t>
  </si>
  <si>
    <t xml:space="preserve">Factor neto (1 − impuestos − financiamiento)</t>
  </si>
  <si>
    <t xml:space="preserve">PRECIO DE LA HORA — MERCADO MANDA, COSTO ES EL PISO</t>
  </si>
  <si>
    <t xml:space="preserve">El precio se ancla al mercado (28–40 US$/h). El cost-plus solo verifica que ningún precio quede bajo el piso.</t>
  </si>
  <si>
    <t xml:space="preserve">1) PISO POR COSTOS</t>
  </si>
  <si>
    <t xml:space="preserve">Horas facturables (capacidad × utilización)</t>
  </si>
  <si>
    <t xml:space="preserve">Costo hora in-house (US$) = fijos / hs facturables</t>
  </si>
  <si>
    <t xml:space="preserve">Piso técnico de venta = costo / factor neto / (1−margen)</t>
  </si>
  <si>
    <t xml:space="preserve">2) MATRIZ DE PRECIOS DE MERCADO</t>
  </si>
  <si>
    <t xml:space="preserve">Escenario</t>
  </si>
  <si>
    <t xml:space="preserve">Precio US$/h</t>
  </si>
  <si>
    <t xml:space="preserve">Neto tras imp.+fin. (US$/h)</t>
  </si>
  <si>
    <t xml:space="preserve">Contribución s/costo hora (US$)</t>
  </si>
  <si>
    <t xml:space="preserve">Margen % s/precio</t>
  </si>
  <si>
    <t xml:space="preserve">¿Sobre piso técnico?</t>
  </si>
  <si>
    <t xml:space="preserve">Mercado piso</t>
  </si>
  <si>
    <t xml:space="preserve">Target Automatización/IoT</t>
  </si>
  <si>
    <t xml:space="preserve">Mercado medio</t>
  </si>
  <si>
    <t xml:space="preserve">Mercado techo</t>
  </si>
  <si>
    <t xml:space="preserve">Target Software</t>
  </si>
  <si>
    <t xml:space="preserve">PRECIO SUGERIDO NEXO</t>
  </si>
  <si>
    <t xml:space="preserve">3) HORA TERCERIZADA</t>
  </si>
  <si>
    <t xml:space="preserve">Contribución hora tercerizada al precio sugerido (US$)</t>
  </si>
  <si>
    <t xml:space="preserve">Nota: el precio sugerido toma el MAYOR entre el piso técnico y el target comercial — nunca se vende por costos si el mercado paga más.</t>
  </si>
  <si>
    <t xml:space="preserve">PUNTO DE EQUILIBRIO</t>
  </si>
  <si>
    <t xml:space="preserve">Horas facturables/mes necesarias para cubrir el 100% de los costos fijos (incluida cuota de deuda).</t>
  </si>
  <si>
    <t xml:space="preserve">Ingreso neto/h (ARS)</t>
  </si>
  <si>
    <t xml:space="preserve">Horas de equilibrio</t>
  </si>
  <si>
    <t xml:space="preserve">% de capacidad facturable</t>
  </si>
  <si>
    <t xml:space="preserve">¿Alcanza capacidad propia?</t>
  </si>
  <si>
    <t xml:space="preserve">SENSIBILIDAD: horas de equilibrio según precio y utilización — solo lectura</t>
  </si>
  <si>
    <t xml:space="preserve">Precio \ TC</t>
  </si>
  <si>
    <t xml:space="preserve">RESULTADO MENSUAL PROYECTADO</t>
  </si>
  <si>
    <t xml:space="preserve">Tres escenarios de precio, a plena utilización de horas in-house. Horas tercerizadas suman aparte.</t>
  </si>
  <si>
    <t xml:space="preserve">Mercado piso 28 US$</t>
  </si>
  <si>
    <t xml:space="preserve">Precio sugerido</t>
  </si>
  <si>
    <t xml:space="preserve">Mercado techo 40 US$</t>
  </si>
  <si>
    <t xml:space="preserve">Precio hora (US$)</t>
  </si>
  <si>
    <t xml:space="preserve">Horas facturadas</t>
  </si>
  <si>
    <t xml:space="preserve">Facturación (ARS)</t>
  </si>
  <si>
    <t xml:space="preserve">(−) Impuestos s/ventas</t>
  </si>
  <si>
    <t xml:space="preserve">(−) Costo financiero</t>
  </si>
  <si>
    <t xml:space="preserve">(−) Costos fijos sin deuda</t>
  </si>
  <si>
    <t xml:space="preserve">EBITDA</t>
  </si>
  <si>
    <t xml:space="preserve">Margen EBITDA %</t>
  </si>
  <si>
    <t xml:space="preserve">(−) Servicio de deuda</t>
  </si>
  <si>
    <t xml:space="preserve">RESULTADO NETO</t>
  </si>
  <si>
    <t xml:space="preserve">EBITDA excluye la cuota bancaria (es servicio de deuda, no gasto operativo). El resultado neto sí la descuenta.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</si>
</sst>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&quot;$ &quot;#,##0;&quot;($ &quot;#,##0\);\-"/>
    <numFmt numFmtId="167" formatCode="0.0%"/>
    <numFmt numFmtId="168" formatCode="&quot;US$ &quot;#,##0.00;&quot;(US$ &quot;#,##0.00\);\-"/>
    <numFmt numFmtId="169" formatCode="#,##0&quot; hs&quot;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9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232A33"/>
        <bgColor rgb="FF333300"/>
      </patternFill>
    </fill>
    <fill>
      <patternFill patternType="solid">
        <fgColor rgb="FF1CA9E0"/>
        <bgColor rgb="FF00CCFF"/>
      </patternFill>
    </fill>
    <fill>
      <patternFill patternType="solid">
        <fgColor rgb="FFFFFF00"/>
        <bgColor rgb="FFFFFF00"/>
      </patternFill>
    </fill>
    <fill>
      <patternFill patternType="solid">
        <fgColor rgb="FFF0F7FC"/>
        <bgColor rgb="FFFFFFFF"/>
      </patternFill>
    </fill>
    <fill>
      <patternFill patternType="solid">
        <fgColor rgb="FFB9986A"/>
        <bgColor rgb="FF8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EE6ED"/>
      </left>
      <right style="thin">
        <color rgb="FFDEE6ED"/>
      </right>
      <top style="thin">
        <color rgb="FFDEE6ED"/>
      </top>
      <bottom style="thin">
        <color rgb="FFDEE6E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1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1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1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0F7FC"/>
      <rgbColor rgb="FFDEE6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CA9E0"/>
      <rgbColor rgb="FF99CC00"/>
      <rgbColor rgb="FFFFCC00"/>
      <rgbColor rgb="FFFF9900"/>
      <rgbColor rgb="FFFF6600"/>
      <rgbColor rgb="FF666666"/>
      <rgbColor rgb="FFB9986A"/>
      <rgbColor rgb="FF003366"/>
      <rgbColor rgb="FF339966"/>
      <rgbColor rgb="FF003300"/>
      <rgbColor rgb="FF333300"/>
      <rgbColor rgb="FF993300"/>
      <rgbColor rgb="FF993366"/>
      <rgbColor rgb="FF333399"/>
      <rgbColor rgb="FF232A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2" min="2" style="1" width="16"/>
    <col collapsed="false" customWidth="true" hidden="false" outlineLevel="0" max="3" min="3" style="1" width="50"/>
  </cols>
  <sheetData>
    <row r="1" customFormat="false" ht="25.5" hidden="false" customHeight="true" outlineLevel="0" collapsed="false">
      <c r="A1" s="2" t="s">
        <v>0</v>
      </c>
      <c r="B1" s="2"/>
      <c r="C1" s="2"/>
      <c r="D1" s="2"/>
      <c r="E1" s="2"/>
      <c r="F1" s="2"/>
    </row>
    <row r="2" customFormat="false" ht="15.75" hidden="false" customHeight="true" outlineLevel="0" collapsed="false">
      <c r="A2" s="3" t="s">
        <v>1</v>
      </c>
      <c r="B2" s="3"/>
      <c r="C2" s="3"/>
      <c r="D2" s="3"/>
      <c r="E2" s="3"/>
      <c r="F2" s="3"/>
    </row>
    <row r="4" customFormat="false" ht="15" hidden="false" customHeight="true" outlineLevel="0" collapsed="false">
      <c r="A4" s="4" t="s">
        <v>2</v>
      </c>
      <c r="B4" s="4"/>
      <c r="C4" s="4"/>
      <c r="D4" s="4"/>
    </row>
    <row r="5" customFormat="false" ht="15" hidden="false" customHeight="true" outlineLevel="0" collapsed="false">
      <c r="A5" s="5" t="s">
        <v>3</v>
      </c>
      <c r="B5" s="6" t="n">
        <v>1450</v>
      </c>
      <c r="C5" s="7" t="s">
        <v>4</v>
      </c>
    </row>
    <row r="6" customFormat="false" ht="15" hidden="false" customHeight="true" outlineLevel="0" collapsed="false">
      <c r="A6" s="5" t="s">
        <v>5</v>
      </c>
      <c r="B6" s="6" t="n">
        <v>16</v>
      </c>
      <c r="C6" s="7" t="s">
        <v>6</v>
      </c>
    </row>
    <row r="7" customFormat="false" ht="15" hidden="false" customHeight="true" outlineLevel="0" collapsed="false">
      <c r="A7" s="5" t="s">
        <v>7</v>
      </c>
      <c r="B7" s="8" t="n">
        <v>2200000</v>
      </c>
      <c r="C7" s="7" t="s">
        <v>8</v>
      </c>
    </row>
    <row r="8" customFormat="false" ht="15" hidden="false" customHeight="true" outlineLevel="0" collapsed="false">
      <c r="A8" s="4" t="s">
        <v>9</v>
      </c>
      <c r="B8" s="4"/>
      <c r="C8" s="4"/>
      <c r="D8" s="4"/>
    </row>
    <row r="9" customFormat="false" ht="15" hidden="false" customHeight="true" outlineLevel="0" collapsed="false">
      <c r="A9" s="5" t="s">
        <v>10</v>
      </c>
      <c r="B9" s="6" t="n">
        <v>4500</v>
      </c>
      <c r="C9" s="7" t="s">
        <v>11</v>
      </c>
    </row>
    <row r="10" customFormat="false" ht="15" hidden="false" customHeight="true" outlineLevel="0" collapsed="false">
      <c r="A10" s="5" t="s">
        <v>12</v>
      </c>
      <c r="B10" s="9" t="n">
        <v>0.75</v>
      </c>
      <c r="C10" s="7" t="s">
        <v>13</v>
      </c>
    </row>
    <row r="11" customFormat="false" ht="15" hidden="false" customHeight="true" outlineLevel="0" collapsed="false">
      <c r="A11" s="5" t="s">
        <v>14</v>
      </c>
      <c r="B11" s="6" t="n">
        <v>5500</v>
      </c>
      <c r="C11" s="7" t="s">
        <v>15</v>
      </c>
    </row>
    <row r="12" customFormat="false" ht="15" hidden="false" customHeight="true" outlineLevel="0" collapsed="false">
      <c r="A12" s="5" t="s">
        <v>16</v>
      </c>
      <c r="B12" s="10" t="n">
        <v>22</v>
      </c>
      <c r="C12" s="7" t="s">
        <v>17</v>
      </c>
    </row>
    <row r="13" customFormat="false" ht="15" hidden="false" customHeight="true" outlineLevel="0" collapsed="false">
      <c r="A13" s="4" t="s">
        <v>18</v>
      </c>
      <c r="B13" s="4"/>
      <c r="C13" s="4"/>
      <c r="D13" s="4"/>
    </row>
    <row r="14" customFormat="false" ht="15" hidden="false" customHeight="true" outlineLevel="0" collapsed="false">
      <c r="A14" s="5" t="s">
        <v>19</v>
      </c>
      <c r="B14" s="9" t="n">
        <v>0.035</v>
      </c>
      <c r="C14" s="7" t="s">
        <v>20</v>
      </c>
    </row>
    <row r="15" customFormat="false" ht="15" hidden="false" customHeight="true" outlineLevel="0" collapsed="false">
      <c r="A15" s="5" t="s">
        <v>21</v>
      </c>
      <c r="B15" s="6" t="n">
        <v>60</v>
      </c>
      <c r="C15" s="7" t="s">
        <v>22</v>
      </c>
    </row>
    <row r="16" customFormat="false" ht="15" hidden="false" customHeight="true" outlineLevel="0" collapsed="false">
      <c r="A16" s="5" t="s">
        <v>23</v>
      </c>
      <c r="B16" s="9" t="n">
        <v>0</v>
      </c>
      <c r="C16" s="7" t="s">
        <v>24</v>
      </c>
    </row>
    <row r="17" customFormat="false" ht="15" hidden="false" customHeight="true" outlineLevel="0" collapsed="false">
      <c r="A17" s="4" t="s">
        <v>25</v>
      </c>
      <c r="B17" s="4"/>
      <c r="C17" s="4"/>
      <c r="D17" s="4"/>
    </row>
    <row r="18" customFormat="false" ht="15" hidden="false" customHeight="true" outlineLevel="0" collapsed="false">
      <c r="A18" s="5" t="s">
        <v>26</v>
      </c>
      <c r="B18" s="9" t="n">
        <v>0.25</v>
      </c>
      <c r="C18" s="7" t="s">
        <v>27</v>
      </c>
    </row>
    <row r="19" customFormat="false" ht="15" hidden="false" customHeight="true" outlineLevel="0" collapsed="false">
      <c r="A19" s="5" t="s">
        <v>28</v>
      </c>
      <c r="B19" s="10" t="n">
        <v>28</v>
      </c>
      <c r="C19" s="7" t="s">
        <v>29</v>
      </c>
    </row>
    <row r="20" customFormat="false" ht="15" hidden="false" customHeight="true" outlineLevel="0" collapsed="false">
      <c r="A20" s="5" t="s">
        <v>30</v>
      </c>
      <c r="B20" s="10" t="n">
        <v>40</v>
      </c>
      <c r="C20" s="7" t="s">
        <v>29</v>
      </c>
    </row>
    <row r="21" customFormat="false" ht="15" hidden="false" customHeight="true" outlineLevel="0" collapsed="false">
      <c r="A21" s="5" t="s">
        <v>31</v>
      </c>
      <c r="B21" s="10" t="n">
        <v>35</v>
      </c>
      <c r="C21" s="7" t="s">
        <v>32</v>
      </c>
    </row>
    <row r="22" customFormat="false" ht="15" hidden="false" customHeight="true" outlineLevel="0" collapsed="false">
      <c r="A22" s="5" t="s">
        <v>33</v>
      </c>
      <c r="B22" s="10" t="n">
        <v>42</v>
      </c>
      <c r="C22" s="7" t="s">
        <v>32</v>
      </c>
    </row>
  </sheetData>
  <mergeCells count="6">
    <mergeCell ref="A1:F1"/>
    <mergeCell ref="A2:F2"/>
    <mergeCell ref="A4:D4"/>
    <mergeCell ref="A8:D8"/>
    <mergeCell ref="A13:D13"/>
    <mergeCell ref="A17:D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8"/>
    <col collapsed="false" customWidth="true" hidden="false" outlineLevel="0" max="2" min="2" style="1" width="18"/>
    <col collapsed="false" customWidth="true" hidden="false" outlineLevel="0" max="3" min="3" style="1" width="42"/>
  </cols>
  <sheetData>
    <row r="1" customFormat="false" ht="25.5" hidden="false" customHeight="true" outlineLevel="0" collapsed="false">
      <c r="A1" s="2" t="s">
        <v>34</v>
      </c>
      <c r="B1" s="2"/>
      <c r="C1" s="2"/>
      <c r="D1" s="2"/>
      <c r="E1" s="2"/>
      <c r="F1" s="2"/>
    </row>
    <row r="2" customFormat="false" ht="15.75" hidden="false" customHeight="true" outlineLevel="0" collapsed="false">
      <c r="A2" s="3" t="s">
        <v>35</v>
      </c>
      <c r="B2" s="3"/>
      <c r="C2" s="3"/>
      <c r="D2" s="3"/>
      <c r="E2" s="3"/>
      <c r="F2" s="3"/>
    </row>
    <row r="4" customFormat="false" ht="15" hidden="false" customHeight="true" outlineLevel="0" collapsed="false">
      <c r="A4" s="11" t="s">
        <v>36</v>
      </c>
      <c r="B4" s="11" t="s">
        <v>37</v>
      </c>
      <c r="C4" s="11" t="s">
        <v>38</v>
      </c>
    </row>
    <row r="5" customFormat="false" ht="15" hidden="false" customHeight="true" outlineLevel="0" collapsed="false">
      <c r="A5" s="12" t="s">
        <v>39</v>
      </c>
      <c r="B5" s="13" t="n">
        <f aca="false">Supuestos!B6*Supuestos!B7</f>
        <v>35200000</v>
      </c>
      <c r="C5" s="7" t="s">
        <v>40</v>
      </c>
    </row>
    <row r="6" customFormat="false" ht="15" hidden="false" customHeight="true" outlineLevel="0" collapsed="false">
      <c r="A6" s="12" t="s">
        <v>41</v>
      </c>
      <c r="B6" s="8" t="n">
        <v>3500000</v>
      </c>
      <c r="C6" s="7"/>
    </row>
    <row r="7" customFormat="false" ht="15" hidden="false" customHeight="true" outlineLevel="0" collapsed="false">
      <c r="A7" s="12" t="s">
        <v>42</v>
      </c>
      <c r="B7" s="8" t="n">
        <v>2000000</v>
      </c>
      <c r="C7" s="7" t="s">
        <v>43</v>
      </c>
    </row>
    <row r="8" customFormat="false" ht="15" hidden="false" customHeight="true" outlineLevel="0" collapsed="false">
      <c r="A8" s="12" t="s">
        <v>44</v>
      </c>
      <c r="B8" s="13" t="n">
        <f aca="false">2*1400*750</f>
        <v>2100000</v>
      </c>
      <c r="C8" s="7" t="s">
        <v>45</v>
      </c>
    </row>
    <row r="9" customFormat="false" ht="15" hidden="false" customHeight="true" outlineLevel="0" collapsed="false">
      <c r="A9" s="12" t="s">
        <v>46</v>
      </c>
      <c r="B9" s="8" t="n">
        <v>2500000</v>
      </c>
      <c r="C9" s="7"/>
    </row>
    <row r="10" customFormat="false" ht="15" hidden="false" customHeight="true" outlineLevel="0" collapsed="false">
      <c r="A10" s="12" t="s">
        <v>47</v>
      </c>
      <c r="B10" s="8" t="n">
        <v>10000000</v>
      </c>
      <c r="C10" s="7" t="s">
        <v>48</v>
      </c>
    </row>
    <row r="11" customFormat="false" ht="15" hidden="false" customHeight="true" outlineLevel="0" collapsed="false">
      <c r="A11" s="12" t="s">
        <v>49</v>
      </c>
      <c r="B11" s="8" t="n">
        <v>5000000</v>
      </c>
      <c r="C11" s="7"/>
    </row>
    <row r="12" customFormat="false" ht="15" hidden="false" customHeight="true" outlineLevel="0" collapsed="false">
      <c r="A12" s="14" t="s">
        <v>50</v>
      </c>
      <c r="B12" s="15" t="n">
        <f aca="false">SUM(B5:B11)</f>
        <v>60300000</v>
      </c>
    </row>
    <row r="13" customFormat="false" ht="15" hidden="false" customHeight="true" outlineLevel="0" collapsed="false">
      <c r="A13" s="5" t="s">
        <v>51</v>
      </c>
      <c r="B13" s="16" t="n">
        <f aca="false">B12/Supuestos!B5</f>
        <v>41586.2068965517</v>
      </c>
    </row>
    <row r="14" customFormat="false" ht="15" hidden="false" customHeight="true" outlineLevel="0" collapsed="false">
      <c r="A14" s="5" t="s">
        <v>52</v>
      </c>
      <c r="B14" s="13" t="n">
        <f aca="false">B12-B10</f>
        <v>50300000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2" min="2" style="1" width="14"/>
    <col collapsed="false" customWidth="true" hidden="false" outlineLevel="0" max="3" min="3" style="1" width="52"/>
  </cols>
  <sheetData>
    <row r="1" customFormat="false" ht="25.5" hidden="false" customHeight="true" outlineLevel="0" collapsed="false">
      <c r="A1" s="2" t="s">
        <v>53</v>
      </c>
      <c r="B1" s="2"/>
      <c r="C1" s="2"/>
      <c r="D1" s="2"/>
      <c r="E1" s="2"/>
      <c r="F1" s="2"/>
    </row>
    <row r="2" customFormat="false" ht="15.75" hidden="false" customHeight="true" outlineLevel="0" collapsed="false">
      <c r="A2" s="3" t="s">
        <v>54</v>
      </c>
      <c r="B2" s="3"/>
      <c r="C2" s="3"/>
      <c r="D2" s="3"/>
      <c r="E2" s="3"/>
      <c r="F2" s="3"/>
    </row>
    <row r="4" customFormat="false" ht="15" hidden="false" customHeight="true" outlineLevel="0" collapsed="false">
      <c r="A4" s="11" t="s">
        <v>55</v>
      </c>
      <c r="B4" s="11" t="s">
        <v>56</v>
      </c>
      <c r="C4" s="11" t="s">
        <v>38</v>
      </c>
    </row>
    <row r="5" customFormat="false" ht="15" hidden="false" customHeight="true" outlineLevel="0" collapsed="false">
      <c r="A5" s="12" t="s">
        <v>57</v>
      </c>
      <c r="B5" s="9" t="n">
        <v>0.04</v>
      </c>
      <c r="C5" s="7" t="s">
        <v>58</v>
      </c>
    </row>
    <row r="6" customFormat="false" ht="15" hidden="false" customHeight="true" outlineLevel="0" collapsed="false">
      <c r="A6" s="12" t="s">
        <v>59</v>
      </c>
      <c r="B6" s="9" t="n">
        <v>0.008</v>
      </c>
      <c r="C6" s="7" t="s">
        <v>60</v>
      </c>
    </row>
    <row r="7" customFormat="false" ht="15" hidden="false" customHeight="true" outlineLevel="0" collapsed="false">
      <c r="A7" s="12" t="s">
        <v>61</v>
      </c>
      <c r="B7" s="9" t="n">
        <v>0.012</v>
      </c>
      <c r="C7" s="7" t="s">
        <v>62</v>
      </c>
    </row>
    <row r="8" customFormat="false" ht="15" hidden="false" customHeight="true" outlineLevel="0" collapsed="false">
      <c r="A8" s="12" t="s">
        <v>63</v>
      </c>
      <c r="B8" s="9" t="n">
        <v>0.05</v>
      </c>
      <c r="C8" s="7" t="s">
        <v>64</v>
      </c>
    </row>
    <row r="9" customFormat="false" ht="15" hidden="false" customHeight="true" outlineLevel="0" collapsed="false">
      <c r="A9" s="12" t="s">
        <v>65</v>
      </c>
      <c r="B9" s="9" t="n">
        <v>0.01</v>
      </c>
      <c r="C9" s="7" t="s">
        <v>66</v>
      </c>
    </row>
    <row r="10" customFormat="false" ht="15" hidden="false" customHeight="true" outlineLevel="0" collapsed="false">
      <c r="A10" s="14" t="s">
        <v>67</v>
      </c>
      <c r="B10" s="17" t="n">
        <f aca="false">SUM(B5:B9)</f>
        <v>0.12</v>
      </c>
    </row>
    <row r="12" customFormat="false" ht="15" hidden="false" customHeight="true" outlineLevel="0" collapsed="false">
      <c r="A12" s="4" t="s">
        <v>68</v>
      </c>
      <c r="B12" s="4"/>
      <c r="C12" s="4"/>
    </row>
    <row r="13" customFormat="false" ht="15" hidden="false" customHeight="true" outlineLevel="0" collapsed="false">
      <c r="A13" s="5" t="s">
        <v>69</v>
      </c>
      <c r="B13" s="18" t="n">
        <f aca="false">Supuestos!B14*(Supuestos!B15/30)*(1-Supuestos!B16)</f>
        <v>0.07</v>
      </c>
    </row>
    <row r="14" customFormat="false" ht="15" hidden="false" customHeight="true" outlineLevel="0" collapsed="false">
      <c r="A14" s="5" t="s">
        <v>70</v>
      </c>
      <c r="B14" s="18" t="n">
        <f aca="false">1-B10-B13</f>
        <v>0.81</v>
      </c>
    </row>
  </sheetData>
  <mergeCells count="3">
    <mergeCell ref="A1:F1"/>
    <mergeCell ref="A2:F2"/>
    <mergeCell ref="A12:C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15"/>
    <col collapsed="false" customWidth="true" hidden="false" outlineLevel="0" max="3" min="3" style="1" width="22"/>
    <col collapsed="false" customWidth="true" hidden="false" outlineLevel="0" max="4" min="4" style="1" width="24"/>
    <col collapsed="false" customWidth="true" hidden="false" outlineLevel="0" max="5" min="5" style="1" width="16"/>
    <col collapsed="false" customWidth="true" hidden="false" outlineLevel="0" max="6" min="6" style="1" width="18"/>
  </cols>
  <sheetData>
    <row r="1" customFormat="false" ht="25.5" hidden="false" customHeight="true" outlineLevel="0" collapsed="false">
      <c r="A1" s="2" t="s">
        <v>71</v>
      </c>
      <c r="B1" s="2"/>
      <c r="C1" s="2"/>
      <c r="D1" s="2"/>
      <c r="E1" s="2"/>
      <c r="F1" s="2"/>
    </row>
    <row r="2" customFormat="false" ht="15.75" hidden="false" customHeight="true" outlineLevel="0" collapsed="false">
      <c r="A2" s="3" t="s">
        <v>72</v>
      </c>
      <c r="B2" s="3"/>
      <c r="C2" s="3"/>
      <c r="D2" s="3"/>
      <c r="E2" s="3"/>
      <c r="F2" s="3"/>
    </row>
    <row r="4" customFormat="false" ht="15" hidden="false" customHeight="true" outlineLevel="0" collapsed="false">
      <c r="A4" s="4" t="s">
        <v>73</v>
      </c>
      <c r="B4" s="4"/>
      <c r="C4" s="4"/>
      <c r="D4" s="4"/>
    </row>
    <row r="5" customFormat="false" ht="15" hidden="false" customHeight="true" outlineLevel="0" collapsed="false">
      <c r="A5" s="5" t="s">
        <v>74</v>
      </c>
      <c r="B5" s="19" t="n">
        <f aca="false">Supuestos!B9*Supuestos!B10</f>
        <v>3375</v>
      </c>
    </row>
    <row r="6" customFormat="false" ht="15" hidden="false" customHeight="true" outlineLevel="0" collapsed="false">
      <c r="A6" s="5" t="s">
        <v>75</v>
      </c>
      <c r="B6" s="16" t="n">
        <f aca="false">'Costos Fijos'!B13/B5</f>
        <v>12.3218390804598</v>
      </c>
    </row>
    <row r="7" customFormat="false" ht="15" hidden="false" customHeight="true" outlineLevel="0" collapsed="false">
      <c r="A7" s="5" t="s">
        <v>76</v>
      </c>
      <c r="B7" s="16" t="n">
        <f aca="false">B6/Impuestos!B14/(1-Supuestos!B18)</f>
        <v>20.2828626838844</v>
      </c>
    </row>
    <row r="9" customFormat="false" ht="15" hidden="false" customHeight="true" outlineLevel="0" collapsed="false">
      <c r="A9" s="4" t="s">
        <v>77</v>
      </c>
      <c r="B9" s="4"/>
      <c r="C9" s="4"/>
      <c r="D9" s="4"/>
      <c r="E9" s="4"/>
      <c r="F9" s="4"/>
    </row>
    <row r="10" customFormat="false" ht="23.25" hidden="false" customHeight="true" outlineLevel="0" collapsed="false">
      <c r="A10" s="11" t="s">
        <v>78</v>
      </c>
      <c r="B10" s="11" t="s">
        <v>79</v>
      </c>
      <c r="C10" s="11" t="s">
        <v>80</v>
      </c>
      <c r="D10" s="11" t="s">
        <v>81</v>
      </c>
      <c r="E10" s="11" t="s">
        <v>82</v>
      </c>
      <c r="F10" s="11" t="s">
        <v>83</v>
      </c>
    </row>
    <row r="11" customFormat="false" ht="15" hidden="false" customHeight="true" outlineLevel="0" collapsed="false">
      <c r="A11" s="12" t="s">
        <v>84</v>
      </c>
      <c r="B11" s="16" t="n">
        <f aca="false">Supuestos!B19</f>
        <v>28</v>
      </c>
      <c r="C11" s="20" t="n">
        <f aca="false">B11*Impuestos!B14</f>
        <v>22.68</v>
      </c>
      <c r="D11" s="20" t="n">
        <f aca="false">C11-$B$6</f>
        <v>10.3581609195402</v>
      </c>
      <c r="E11" s="21" t="n">
        <f aca="false">D11/B11</f>
        <v>0.369934318555008</v>
      </c>
      <c r="F11" s="12" t="str">
        <f aca="false">IF(B11&gt;=$B$7,"SÍ","NO — bajo piso")</f>
        <v>SÍ</v>
      </c>
    </row>
    <row r="12" customFormat="false" ht="15" hidden="false" customHeight="true" outlineLevel="0" collapsed="false">
      <c r="A12" s="12" t="s">
        <v>85</v>
      </c>
      <c r="B12" s="16" t="n">
        <f aca="false">Supuestos!B21</f>
        <v>35</v>
      </c>
      <c r="C12" s="20" t="n">
        <f aca="false">B12*Impuestos!B14</f>
        <v>28.35</v>
      </c>
      <c r="D12" s="20" t="n">
        <f aca="false">C12-$B$6</f>
        <v>16.0281609195402</v>
      </c>
      <c r="E12" s="21" t="n">
        <f aca="false">D12/B12</f>
        <v>0.457947454844007</v>
      </c>
      <c r="F12" s="12" t="str">
        <f aca="false">IF(B12&gt;=$B$7,"SÍ","NO — bajo piso")</f>
        <v>SÍ</v>
      </c>
    </row>
    <row r="13" customFormat="false" ht="15" hidden="false" customHeight="true" outlineLevel="0" collapsed="false">
      <c r="A13" s="12" t="s">
        <v>86</v>
      </c>
      <c r="B13" s="16" t="n">
        <f aca="false">(Supuestos!B19+Supuestos!B20)/2</f>
        <v>34</v>
      </c>
      <c r="C13" s="20" t="n">
        <f aca="false">B13*Impuestos!B14</f>
        <v>27.54</v>
      </c>
      <c r="D13" s="20" t="n">
        <f aca="false">C13-$B$6</f>
        <v>15.2181609195402</v>
      </c>
      <c r="E13" s="21" t="n">
        <f aca="false">D13/B13</f>
        <v>0.447592968221772</v>
      </c>
      <c r="F13" s="12" t="str">
        <f aca="false">IF(B13&gt;=$B$7,"SÍ","NO — bajo piso")</f>
        <v>SÍ</v>
      </c>
    </row>
    <row r="14" customFormat="false" ht="15" hidden="false" customHeight="true" outlineLevel="0" collapsed="false">
      <c r="A14" s="12" t="s">
        <v>87</v>
      </c>
      <c r="B14" s="16" t="n">
        <f aca="false">Supuestos!B20</f>
        <v>40</v>
      </c>
      <c r="C14" s="20" t="n">
        <f aca="false">B14*Impuestos!B14</f>
        <v>32.4</v>
      </c>
      <c r="D14" s="20" t="n">
        <f aca="false">C14-$B$6</f>
        <v>20.0781609195402</v>
      </c>
      <c r="E14" s="21" t="n">
        <f aca="false">D14/B14</f>
        <v>0.501954022988506</v>
      </c>
      <c r="F14" s="12" t="str">
        <f aca="false">IF(B14&gt;=$B$7,"SÍ","NO — bajo piso")</f>
        <v>SÍ</v>
      </c>
    </row>
    <row r="15" customFormat="false" ht="15" hidden="false" customHeight="true" outlineLevel="0" collapsed="false">
      <c r="A15" s="12" t="s">
        <v>88</v>
      </c>
      <c r="B15" s="16" t="n">
        <f aca="false">Supuestos!B22</f>
        <v>42</v>
      </c>
      <c r="C15" s="20" t="n">
        <f aca="false">B15*Impuestos!B14</f>
        <v>34.02</v>
      </c>
      <c r="D15" s="20" t="n">
        <f aca="false">C15-$B$6</f>
        <v>21.6981609195402</v>
      </c>
      <c r="E15" s="21" t="n">
        <f aca="false">D15/B15</f>
        <v>0.516622879036672</v>
      </c>
      <c r="F15" s="12" t="str">
        <f aca="false">IF(B15&gt;=$B$7,"SÍ","NO — bajo piso")</f>
        <v>SÍ</v>
      </c>
    </row>
    <row r="16" customFormat="false" ht="15" hidden="false" customHeight="true" outlineLevel="0" collapsed="false">
      <c r="A16" s="22" t="s">
        <v>89</v>
      </c>
      <c r="B16" s="16" t="n">
        <f aca="false">MAX(B7,Supuestos!B21)</f>
        <v>35</v>
      </c>
      <c r="C16" s="23" t="n">
        <f aca="false">B16*Impuestos!B14</f>
        <v>28.35</v>
      </c>
      <c r="D16" s="23" t="n">
        <f aca="false">C16-$B$6</f>
        <v>16.0281609195402</v>
      </c>
      <c r="E16" s="24" t="n">
        <f aca="false">D16/B16</f>
        <v>0.457947454844007</v>
      </c>
      <c r="F16" s="25" t="str">
        <f aca="false">IF(B16&gt;=$B$7,"SÍ","NO — bajo piso")</f>
        <v>SÍ</v>
      </c>
    </row>
    <row r="18" customFormat="false" ht="15" hidden="false" customHeight="true" outlineLevel="0" collapsed="false">
      <c r="A18" s="4" t="s">
        <v>90</v>
      </c>
      <c r="B18" s="4"/>
      <c r="C18" s="4"/>
      <c r="D18" s="4"/>
    </row>
    <row r="19" customFormat="false" ht="15" hidden="false" customHeight="true" outlineLevel="0" collapsed="false">
      <c r="A19" s="5" t="s">
        <v>91</v>
      </c>
      <c r="B19" s="16" t="n">
        <f aca="false">B16*Impuestos!B14-Supuestos!B12</f>
        <v>6.35</v>
      </c>
    </row>
    <row r="20" customFormat="false" ht="15" hidden="false" customHeight="true" outlineLevel="0" collapsed="false">
      <c r="A20" s="26" t="s">
        <v>92</v>
      </c>
      <c r="B20" s="26"/>
      <c r="C20" s="26"/>
      <c r="D20" s="26"/>
      <c r="E20" s="26"/>
      <c r="F20" s="26"/>
    </row>
  </sheetData>
  <mergeCells count="6">
    <mergeCell ref="A1:F1"/>
    <mergeCell ref="A2:F2"/>
    <mergeCell ref="A4:D4"/>
    <mergeCell ref="A9:F9"/>
    <mergeCell ref="A18:D18"/>
    <mergeCell ref="A20:F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3" min="2" style="1" width="20"/>
    <col collapsed="false" customWidth="true" hidden="false" outlineLevel="0" max="4" min="4" style="1" width="24"/>
    <col collapsed="false" customWidth="true" hidden="false" outlineLevel="0" max="5" min="5" style="1" width="38"/>
  </cols>
  <sheetData>
    <row r="1" customFormat="false" ht="25.5" hidden="false" customHeight="true" outlineLevel="0" collapsed="false">
      <c r="A1" s="2" t="s">
        <v>93</v>
      </c>
      <c r="B1" s="2"/>
      <c r="C1" s="2"/>
      <c r="D1" s="2"/>
      <c r="E1" s="2"/>
      <c r="F1" s="2"/>
    </row>
    <row r="2" customFormat="false" ht="15.75" hidden="false" customHeight="true" outlineLevel="0" collapsed="false">
      <c r="A2" s="3" t="s">
        <v>94</v>
      </c>
      <c r="B2" s="3"/>
      <c r="C2" s="3"/>
      <c r="D2" s="3"/>
      <c r="E2" s="3"/>
      <c r="F2" s="3"/>
    </row>
    <row r="4" customFormat="false" ht="15" hidden="false" customHeight="true" outlineLevel="0" collapsed="false">
      <c r="A4" s="11" t="s">
        <v>79</v>
      </c>
      <c r="B4" s="11" t="s">
        <v>95</v>
      </c>
      <c r="C4" s="11" t="s">
        <v>96</v>
      </c>
      <c r="D4" s="11" t="s">
        <v>97</v>
      </c>
      <c r="E4" s="11" t="s">
        <v>98</v>
      </c>
    </row>
    <row r="5" customFormat="false" ht="15" hidden="false" customHeight="true" outlineLevel="0" collapsed="false">
      <c r="A5" s="16" t="n">
        <f aca="false">Supuestos!B19</f>
        <v>28</v>
      </c>
      <c r="B5" s="27" t="n">
        <f aca="false">A5*Supuestos!B5*Impuestos!B14</f>
        <v>32886</v>
      </c>
      <c r="C5" s="28" t="n">
        <f aca="false">'Costos Fijos'!B12/B5</f>
        <v>1833.6070060208</v>
      </c>
      <c r="D5" s="21" t="n">
        <f aca="false">C5/'Precio Hora'!B5</f>
        <v>0.543290964746903</v>
      </c>
      <c r="E5" s="12" t="str">
        <f aca="false">IF(C5&lt;='Precio Hora'!B5,"SÍ","NO — requiere tercerizar o subir precio")</f>
        <v>SÍ</v>
      </c>
    </row>
    <row r="6" customFormat="false" ht="15" hidden="false" customHeight="true" outlineLevel="0" collapsed="false">
      <c r="A6" s="16" t="n">
        <f aca="false">Supuestos!B21</f>
        <v>35</v>
      </c>
      <c r="B6" s="27" t="n">
        <f aca="false">A6*Supuestos!B5*Impuestos!B14</f>
        <v>41107.5</v>
      </c>
      <c r="C6" s="28" t="n">
        <f aca="false">'Costos Fijos'!B12/B6</f>
        <v>1466.88560481664</v>
      </c>
      <c r="D6" s="21" t="n">
        <f aca="false">C6/'Precio Hora'!B5</f>
        <v>0.434632771797523</v>
      </c>
      <c r="E6" s="12" t="str">
        <f aca="false">IF(C6&lt;='Precio Hora'!B5,"SÍ","NO — requiere tercerizar o subir precio")</f>
        <v>SÍ</v>
      </c>
    </row>
    <row r="7" customFormat="false" ht="15" hidden="false" customHeight="true" outlineLevel="0" collapsed="false">
      <c r="A7" s="16" t="n">
        <f aca="false">(Supuestos!B19+Supuestos!B20)/2</f>
        <v>34</v>
      </c>
      <c r="B7" s="27" t="n">
        <f aca="false">A7*Supuestos!B5*Impuestos!B14</f>
        <v>39933</v>
      </c>
      <c r="C7" s="28" t="n">
        <f aca="false">'Costos Fijos'!B12/B7</f>
        <v>1510.02929907595</v>
      </c>
      <c r="D7" s="21" t="n">
        <f aca="false">C7/'Precio Hora'!B5</f>
        <v>0.447416088615097</v>
      </c>
      <c r="E7" s="12" t="str">
        <f aca="false">IF(C7&lt;='Precio Hora'!B5,"SÍ","NO — requiere tercerizar o subir precio")</f>
        <v>SÍ</v>
      </c>
    </row>
    <row r="8" customFormat="false" ht="15" hidden="false" customHeight="true" outlineLevel="0" collapsed="false">
      <c r="A8" s="16" t="n">
        <f aca="false">Supuestos!B20</f>
        <v>40</v>
      </c>
      <c r="B8" s="27" t="n">
        <f aca="false">A8*Supuestos!B5*Impuestos!B14</f>
        <v>46980</v>
      </c>
      <c r="C8" s="28" t="n">
        <f aca="false">'Costos Fijos'!B12/B8</f>
        <v>1283.52490421456</v>
      </c>
      <c r="D8" s="21" t="n">
        <f aca="false">C8/'Precio Hora'!B5</f>
        <v>0.380303675322832</v>
      </c>
      <c r="E8" s="12" t="str">
        <f aca="false">IF(C8&lt;='Precio Hora'!B5,"SÍ","NO — requiere tercerizar o subir precio")</f>
        <v>SÍ</v>
      </c>
    </row>
    <row r="9" customFormat="false" ht="15" hidden="false" customHeight="true" outlineLevel="0" collapsed="false">
      <c r="A9" s="16" t="n">
        <f aca="false">Supuestos!B22</f>
        <v>42</v>
      </c>
      <c r="B9" s="27" t="n">
        <f aca="false">A9*Supuestos!B5*Impuestos!B14</f>
        <v>49329</v>
      </c>
      <c r="C9" s="28" t="n">
        <f aca="false">'Costos Fijos'!B12/B9</f>
        <v>1222.40467068053</v>
      </c>
      <c r="D9" s="21" t="n">
        <f aca="false">C9/'Precio Hora'!B5</f>
        <v>0.362193976497936</v>
      </c>
      <c r="E9" s="12" t="str">
        <f aca="false">IF(C9&lt;='Precio Hora'!B5,"SÍ","NO — requiere tercerizar o subir precio")</f>
        <v>SÍ</v>
      </c>
    </row>
    <row r="10" customFormat="false" ht="15" hidden="false" customHeight="true" outlineLevel="0" collapsed="false">
      <c r="A10" s="16" t="n">
        <f aca="false">'Precio Hora'!B16</f>
        <v>35</v>
      </c>
      <c r="B10" s="27" t="n">
        <f aca="false">A10*Supuestos!B5*Impuestos!B14</f>
        <v>41107.5</v>
      </c>
      <c r="C10" s="28" t="n">
        <f aca="false">'Costos Fijos'!B12/B10</f>
        <v>1466.88560481664</v>
      </c>
      <c r="D10" s="21" t="n">
        <f aca="false">C10/'Precio Hora'!B5</f>
        <v>0.434632771797523</v>
      </c>
      <c r="E10" s="12" t="str">
        <f aca="false">IF(C10&lt;='Precio Hora'!B5,"SÍ","NO — requiere tercerizar o subir precio")</f>
        <v>SÍ</v>
      </c>
    </row>
    <row r="13" customFormat="false" ht="15" hidden="false" customHeight="true" outlineLevel="0" collapsed="false">
      <c r="A13" s="4" t="s">
        <v>99</v>
      </c>
      <c r="B13" s="4"/>
      <c r="C13" s="4"/>
      <c r="D13" s="4"/>
      <c r="E13" s="4"/>
      <c r="F13" s="4"/>
    </row>
    <row r="14" customFormat="false" ht="15" hidden="false" customHeight="true" outlineLevel="0" collapsed="false">
      <c r="A14" s="29" t="s">
        <v>100</v>
      </c>
      <c r="B14" s="30" t="n">
        <v>1300</v>
      </c>
      <c r="C14" s="30" t="n">
        <v>1450</v>
      </c>
      <c r="D14" s="30" t="n">
        <v>1600</v>
      </c>
    </row>
    <row r="15" customFormat="false" ht="15" hidden="false" customHeight="true" outlineLevel="0" collapsed="false">
      <c r="A15" s="31" t="n">
        <v>28</v>
      </c>
      <c r="B15" s="32" t="n">
        <f aca="false">'Costos Fijos'!B12/(28*1300*Impuestos!B14)</f>
        <v>2045.17704517704</v>
      </c>
      <c r="C15" s="32" t="n">
        <f aca="false">'Costos Fijos'!B12/(28*1450*Impuestos!B14)</f>
        <v>1833.6070060208</v>
      </c>
      <c r="D15" s="32" t="n">
        <f aca="false">'Costos Fijos'!B12/(28*1600*Impuestos!B14)</f>
        <v>1661.70634920635</v>
      </c>
    </row>
    <row r="16" customFormat="false" ht="15" hidden="false" customHeight="true" outlineLevel="0" collapsed="false">
      <c r="A16" s="31" t="n">
        <v>32</v>
      </c>
      <c r="B16" s="32" t="n">
        <f aca="false">'Costos Fijos'!B12/(32*1300*Impuestos!B14)</f>
        <v>1789.52991452991</v>
      </c>
      <c r="C16" s="32" t="n">
        <f aca="false">'Costos Fijos'!B12/(32*1450*Impuestos!B14)</f>
        <v>1604.4061302682</v>
      </c>
      <c r="D16" s="32" t="n">
        <f aca="false">'Costos Fijos'!B12/(32*1600*Impuestos!B14)</f>
        <v>1453.99305555556</v>
      </c>
    </row>
    <row r="17" customFormat="false" ht="15" hidden="false" customHeight="true" outlineLevel="0" collapsed="false">
      <c r="A17" s="31" t="n">
        <v>35</v>
      </c>
      <c r="B17" s="32" t="n">
        <f aca="false">'Costos Fijos'!B12/(35*1300*Impuestos!B14)</f>
        <v>1636.14163614164</v>
      </c>
      <c r="C17" s="32" t="n">
        <f aca="false">'Costos Fijos'!B12/(35*1450*Impuestos!B14)</f>
        <v>1466.88560481664</v>
      </c>
      <c r="D17" s="32" t="n">
        <f aca="false">'Costos Fijos'!B12/(35*1600*Impuestos!B14)</f>
        <v>1329.36507936508</v>
      </c>
    </row>
    <row r="18" customFormat="false" ht="15" hidden="false" customHeight="true" outlineLevel="0" collapsed="false">
      <c r="A18" s="31" t="n">
        <v>38</v>
      </c>
      <c r="B18" s="32" t="n">
        <f aca="false">'Costos Fijos'!B12/(38*1300*Impuestos!B14)</f>
        <v>1506.97255960414</v>
      </c>
      <c r="C18" s="32" t="n">
        <f aca="false">'Costos Fijos'!B12/(38*1450*Impuestos!B14)</f>
        <v>1351.07884654164</v>
      </c>
      <c r="D18" s="32" t="n">
        <f aca="false">'Costos Fijos'!B12/(38*1600*Impuestos!B14)</f>
        <v>1224.41520467836</v>
      </c>
    </row>
    <row r="19" customFormat="false" ht="15" hidden="false" customHeight="true" outlineLevel="0" collapsed="false">
      <c r="A19" s="31" t="n">
        <v>40</v>
      </c>
      <c r="B19" s="32" t="n">
        <f aca="false">'Costos Fijos'!B12/(40*1300*Impuestos!B14)</f>
        <v>1431.62393162393</v>
      </c>
      <c r="C19" s="32" t="n">
        <f aca="false">'Costos Fijos'!B12/(40*1450*Impuestos!B14)</f>
        <v>1283.52490421456</v>
      </c>
      <c r="D19" s="32" t="n">
        <f aca="false">'Costos Fijos'!B12/(40*1600*Impuestos!B14)</f>
        <v>1163.19444444444</v>
      </c>
    </row>
    <row r="20" customFormat="false" ht="15" hidden="false" customHeight="true" outlineLevel="0" collapsed="false">
      <c r="A20" s="31" t="n">
        <v>42</v>
      </c>
      <c r="B20" s="32" t="n">
        <f aca="false">'Costos Fijos'!B12/(42*1300*Impuestos!B14)</f>
        <v>1363.45136345136</v>
      </c>
      <c r="C20" s="32" t="n">
        <f aca="false">'Costos Fijos'!B12/(42*1450*Impuestos!B14)</f>
        <v>1222.40467068053</v>
      </c>
      <c r="D20" s="32" t="n">
        <f aca="false">'Costos Fijos'!B12/(42*1600*Impuestos!B14)</f>
        <v>1107.80423280423</v>
      </c>
    </row>
  </sheetData>
  <mergeCells count="3">
    <mergeCell ref="A1:F1"/>
    <mergeCell ref="A2:F2"/>
    <mergeCell ref="A13:F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6"/>
    <col collapsed="false" customWidth="true" hidden="false" outlineLevel="0" max="4" min="2" style="1" width="22"/>
  </cols>
  <sheetData>
    <row r="1" customFormat="false" ht="25.5" hidden="false" customHeight="true" outlineLevel="0" collapsed="false">
      <c r="A1" s="2" t="s">
        <v>101</v>
      </c>
      <c r="B1" s="2"/>
      <c r="C1" s="2"/>
      <c r="D1" s="2"/>
      <c r="E1" s="2"/>
      <c r="F1" s="2"/>
    </row>
    <row r="2" customFormat="false" ht="15.75" hidden="false" customHeight="true" outlineLevel="0" collapsed="false">
      <c r="A2" s="3" t="s">
        <v>102</v>
      </c>
      <c r="B2" s="3"/>
      <c r="C2" s="3"/>
      <c r="D2" s="3"/>
      <c r="E2" s="3"/>
      <c r="F2" s="3"/>
    </row>
    <row r="4" customFormat="false" ht="15" hidden="false" customHeight="true" outlineLevel="0" collapsed="false">
      <c r="A4" s="11" t="s">
        <v>36</v>
      </c>
      <c r="B4" s="11" t="s">
        <v>103</v>
      </c>
      <c r="C4" s="11" t="s">
        <v>104</v>
      </c>
      <c r="D4" s="11" t="s">
        <v>105</v>
      </c>
    </row>
    <row r="5" customFormat="false" ht="15" hidden="false" customHeight="true" outlineLevel="0" collapsed="false">
      <c r="A5" s="12" t="s">
        <v>106</v>
      </c>
      <c r="B5" s="16" t="n">
        <f aca="false">Supuestos!B19</f>
        <v>28</v>
      </c>
      <c r="C5" s="16" t="n">
        <f aca="false">'Precio Hora'!B16</f>
        <v>35</v>
      </c>
      <c r="D5" s="16" t="n">
        <f aca="false">Supuestos!B20</f>
        <v>40</v>
      </c>
    </row>
    <row r="6" customFormat="false" ht="15" hidden="false" customHeight="true" outlineLevel="0" collapsed="false">
      <c r="A6" s="12" t="s">
        <v>107</v>
      </c>
      <c r="B6" s="19" t="n">
        <f aca="false">'Precio Hora'!B5</f>
        <v>3375</v>
      </c>
      <c r="C6" s="19" t="n">
        <f aca="false">'Precio Hora'!B5</f>
        <v>3375</v>
      </c>
      <c r="D6" s="19" t="n">
        <f aca="false">'Precio Hora'!B5</f>
        <v>3375</v>
      </c>
    </row>
    <row r="7" customFormat="false" ht="15" hidden="false" customHeight="true" outlineLevel="0" collapsed="false">
      <c r="A7" s="12" t="s">
        <v>108</v>
      </c>
      <c r="B7" s="13" t="n">
        <f aca="false">B5*B6*Supuestos!B5</f>
        <v>137025000</v>
      </c>
      <c r="C7" s="13" t="n">
        <f aca="false">C5*C6*Supuestos!B5</f>
        <v>171281250</v>
      </c>
      <c r="D7" s="13" t="n">
        <f aca="false">D5*D6*Supuestos!B5</f>
        <v>195750000</v>
      </c>
    </row>
    <row r="8" customFormat="false" ht="15" hidden="false" customHeight="true" outlineLevel="0" collapsed="false">
      <c r="A8" s="12" t="s">
        <v>109</v>
      </c>
      <c r="B8" s="13" t="n">
        <f aca="false">-B7*SUM(Impuestos!B5:B9)</f>
        <v>-16443000</v>
      </c>
      <c r="C8" s="13" t="n">
        <f aca="false">-C7*SUM(Impuestos!B5:B9)</f>
        <v>-20553750</v>
      </c>
      <c r="D8" s="13" t="n">
        <f aca="false">-D7*SUM(Impuestos!B5:B9)</f>
        <v>-23490000</v>
      </c>
    </row>
    <row r="9" customFormat="false" ht="15" hidden="false" customHeight="true" outlineLevel="0" collapsed="false">
      <c r="A9" s="12" t="s">
        <v>110</v>
      </c>
      <c r="B9" s="13" t="n">
        <f aca="false">-B7*Impuestos!B13</f>
        <v>-9591750</v>
      </c>
      <c r="C9" s="13" t="n">
        <f aca="false">-C7*Impuestos!B13</f>
        <v>-11989687.5</v>
      </c>
      <c r="D9" s="13" t="n">
        <f aca="false">-D7*Impuestos!B13</f>
        <v>-13702500</v>
      </c>
    </row>
    <row r="10" customFormat="false" ht="15" hidden="false" customHeight="true" outlineLevel="0" collapsed="false">
      <c r="A10" s="12" t="s">
        <v>111</v>
      </c>
      <c r="B10" s="13" t="n">
        <f aca="false">-'Costos Fijos'!B14</f>
        <v>-50300000</v>
      </c>
      <c r="C10" s="13" t="n">
        <f aca="false">-'Costos Fijos'!B14</f>
        <v>-50300000</v>
      </c>
      <c r="D10" s="13" t="n">
        <f aca="false">-'Costos Fijos'!B14</f>
        <v>-50300000</v>
      </c>
    </row>
    <row r="11" customFormat="false" ht="15" hidden="false" customHeight="true" outlineLevel="0" collapsed="false">
      <c r="A11" s="14" t="s">
        <v>112</v>
      </c>
      <c r="B11" s="15" t="n">
        <f aca="false">SUM(B7:B10)</f>
        <v>60690250</v>
      </c>
      <c r="C11" s="15" t="n">
        <f aca="false">SUM(C7:C10)</f>
        <v>88437812.5</v>
      </c>
      <c r="D11" s="15" t="n">
        <f aca="false">SUM(D7:D10)</f>
        <v>108257500</v>
      </c>
    </row>
    <row r="12" customFormat="false" ht="15" hidden="false" customHeight="true" outlineLevel="0" collapsed="false">
      <c r="A12" s="12" t="s">
        <v>113</v>
      </c>
      <c r="B12" s="18" t="n">
        <f aca="false">B11/B7</f>
        <v>0.442913701879219</v>
      </c>
      <c r="C12" s="18" t="n">
        <f aca="false">C11/C7</f>
        <v>0.516330961503375</v>
      </c>
      <c r="D12" s="18" t="n">
        <f aca="false">D11/D7</f>
        <v>0.553039591315453</v>
      </c>
    </row>
    <row r="13" customFormat="false" ht="15" hidden="false" customHeight="true" outlineLevel="0" collapsed="false">
      <c r="A13" s="12" t="s">
        <v>114</v>
      </c>
      <c r="B13" s="13" t="n">
        <f aca="false">-'Costos Fijos'!B10</f>
        <v>-10000000</v>
      </c>
      <c r="C13" s="13" t="n">
        <f aca="false">-'Costos Fijos'!B10</f>
        <v>-10000000</v>
      </c>
      <c r="D13" s="13" t="n">
        <f aca="false">-'Costos Fijos'!B10</f>
        <v>-10000000</v>
      </c>
    </row>
    <row r="14" customFormat="false" ht="15" hidden="false" customHeight="true" outlineLevel="0" collapsed="false">
      <c r="A14" s="14" t="s">
        <v>115</v>
      </c>
      <c r="B14" s="15" t="n">
        <f aca="false">B11+B13</f>
        <v>50690250</v>
      </c>
      <c r="C14" s="15" t="n">
        <f aca="false">C11+C13</f>
        <v>78437812.5</v>
      </c>
      <c r="D14" s="15" t="n">
        <f aca="false">D11+D13</f>
        <v>98257500</v>
      </c>
    </row>
    <row r="16" customFormat="false" ht="15" hidden="false" customHeight="true" outlineLevel="0" collapsed="false">
      <c r="A16" s="26" t="s">
        <v>116</v>
      </c>
      <c r="B16" s="26"/>
      <c r="C16" s="26"/>
      <c r="D16" s="26"/>
    </row>
  </sheetData>
  <mergeCells count="3">
    <mergeCell ref="A1:F1"/>
    <mergeCell ref="A2:F2"/>
    <mergeCell ref="A16:D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2026-08-22T22:26:19Z</dcterms:created>
  <dc:creator>openpyxl</dc:creator>
  <dc:description/>
  <dc:language>en-US</dc:language>
  <cp:lastModifiedBy/>
  <dcterms:modified xsi:type="dcterms:W3CDTF">2026-08-22T22:27:04Z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